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H P\Dropbox\ALTEX_Online first\2421-Natsch1\"/>
    </mc:Choice>
  </mc:AlternateContent>
  <xr:revisionPtr revIDLastSave="0" documentId="13_ncr:1_{E3F620DF-6B8D-4647-BC65-73FB45B93A79}" xr6:coauthVersionLast="47" xr6:coauthVersionMax="47" xr10:uidLastSave="{00000000-0000-0000-0000-000000000000}"/>
  <bookViews>
    <workbookView xWindow="-108" yWindow="-108" windowWidth="30936" windowHeight="16896" xr2:uid="{00000000-000D-0000-FFFF-FFFF00000000}"/>
  </bookViews>
  <sheets>
    <sheet name="Info" sheetId="4" r:id="rId1"/>
    <sheet name="Blank sheet for calculation" sheetId="1" r:id="rId2"/>
    <sheet name="Example DNCB" sheetId="2" r:id="rId3"/>
    <sheet name="Example cinnamic aldehyde"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2" i="1" l="1"/>
  <c r="E10" i="1"/>
  <c r="E8" i="1"/>
  <c r="E19" i="1"/>
  <c r="D33" i="1" l="1"/>
  <c r="D32" i="1"/>
  <c r="D31" i="1"/>
  <c r="D30" i="1"/>
  <c r="D29" i="1"/>
  <c r="B25" i="1" l="1"/>
  <c r="B25" i="3" l="1"/>
  <c r="E19" i="2"/>
  <c r="E25" i="3"/>
  <c r="E26" i="3" s="1"/>
  <c r="E23" i="3"/>
  <c r="E24" i="3" s="1"/>
  <c r="E19" i="3"/>
  <c r="E12" i="3"/>
  <c r="E13" i="3" s="1"/>
  <c r="E10" i="3"/>
  <c r="E11" i="3" s="1"/>
  <c r="E8" i="3"/>
  <c r="E9" i="3" s="1"/>
  <c r="D29" i="3" s="1"/>
  <c r="E29" i="3" s="1"/>
  <c r="E5" i="3"/>
  <c r="E25" i="2"/>
  <c r="E26" i="2" s="1"/>
  <c r="B25" i="2"/>
  <c r="E23" i="2" s="1"/>
  <c r="E24" i="2" s="1"/>
  <c r="E12" i="2"/>
  <c r="E13" i="2" s="1"/>
  <c r="E10" i="2"/>
  <c r="E11" i="2" s="1"/>
  <c r="E8" i="2"/>
  <c r="E9" i="2" s="1"/>
  <c r="E5" i="2"/>
  <c r="E5" i="1"/>
  <c r="E11" i="1"/>
  <c r="D30" i="3" l="1"/>
  <c r="E30" i="3" s="1"/>
  <c r="D33" i="3"/>
  <c r="E33" i="3" s="1"/>
  <c r="D32" i="3"/>
  <c r="E32" i="3" s="1"/>
  <c r="D31" i="3"/>
  <c r="E31" i="3" s="1"/>
  <c r="D32" i="2"/>
  <c r="E32" i="2" s="1"/>
  <c r="D33" i="2"/>
  <c r="E33" i="2" s="1"/>
  <c r="D31" i="2"/>
  <c r="E31" i="2" s="1"/>
  <c r="D29" i="2"/>
  <c r="E29" i="2" s="1"/>
  <c r="D30" i="2"/>
  <c r="E30" i="2" s="1"/>
  <c r="E13" i="1"/>
  <c r="E9" i="1"/>
  <c r="E25" i="1"/>
  <c r="E26" i="1" s="1"/>
  <c r="E23" i="1"/>
  <c r="E24" i="1" s="1"/>
  <c r="E33" i="1" l="1"/>
  <c r="E32" i="1"/>
  <c r="E31" i="1"/>
  <c r="E30" i="1"/>
  <c r="E29" i="1"/>
</calcChain>
</file>

<file path=xl/sharedStrings.xml><?xml version="1.0" encoding="utf-8"?>
<sst xmlns="http://schemas.openxmlformats.org/spreadsheetml/2006/main" count="158" uniqueCount="75">
  <si>
    <t>KeratinoSens assay data</t>
  </si>
  <si>
    <r>
      <t>EC 1.5 (</t>
    </r>
    <r>
      <rPr>
        <sz val="11"/>
        <color theme="1"/>
        <rFont val="Symbol"/>
        <family val="1"/>
        <charset val="2"/>
      </rPr>
      <t>m</t>
    </r>
    <r>
      <rPr>
        <sz val="11"/>
        <color theme="1"/>
        <rFont val="Calibri"/>
        <family val="2"/>
        <scheme val="minor"/>
      </rPr>
      <t>M)</t>
    </r>
  </si>
  <si>
    <r>
      <t>IC 50 (</t>
    </r>
    <r>
      <rPr>
        <sz val="11"/>
        <color theme="1"/>
        <rFont val="Symbol"/>
        <family val="1"/>
        <charset val="2"/>
      </rPr>
      <t>m</t>
    </r>
    <r>
      <rPr>
        <sz val="11"/>
        <color theme="1"/>
        <rFont val="Calibri"/>
        <family val="2"/>
        <scheme val="minor"/>
      </rPr>
      <t>M)</t>
    </r>
  </si>
  <si>
    <t>If data not in micromolar, enter in ppm</t>
  </si>
  <si>
    <t>EC 1.5 (ppm)</t>
  </si>
  <si>
    <t>IC 50 (ppm)</t>
  </si>
  <si>
    <t>Rating PM</t>
  </si>
  <si>
    <r>
      <t>EC 1.5 (</t>
    </r>
    <r>
      <rPr>
        <sz val="11"/>
        <color theme="1"/>
        <rFont val="Symbol"/>
        <family val="1"/>
        <charset val="2"/>
      </rPr>
      <t>m</t>
    </r>
    <r>
      <rPr>
        <sz val="11"/>
        <color theme="1"/>
        <rFont val="Calibri"/>
        <family val="2"/>
        <scheme val="minor"/>
      </rPr>
      <t>M) consolidated</t>
    </r>
  </si>
  <si>
    <t>LOG norm EC1.5 KS</t>
  </si>
  <si>
    <t>kDPRA assay data</t>
  </si>
  <si>
    <t>Log kmax (s-1M-1)</t>
  </si>
  <si>
    <t>LOG norm Kmax</t>
  </si>
  <si>
    <t>h-CLAT assays data</t>
  </si>
  <si>
    <r>
      <t>CD86 EC150 (</t>
    </r>
    <r>
      <rPr>
        <sz val="11"/>
        <color theme="1"/>
        <rFont val="Symbol"/>
        <family val="1"/>
        <charset val="2"/>
      </rPr>
      <t>m</t>
    </r>
    <r>
      <rPr>
        <sz val="11"/>
        <color theme="1"/>
        <rFont val="Calibri"/>
        <family val="2"/>
        <scheme val="minor"/>
      </rPr>
      <t>g/ml)</t>
    </r>
  </si>
  <si>
    <r>
      <t>CD54 EC200 (</t>
    </r>
    <r>
      <rPr>
        <sz val="11"/>
        <color theme="1"/>
        <rFont val="Symbol"/>
        <family val="1"/>
        <charset val="2"/>
      </rPr>
      <t>m</t>
    </r>
    <r>
      <rPr>
        <sz val="11"/>
        <color theme="1"/>
        <rFont val="Calibri"/>
        <family val="2"/>
        <scheme val="minor"/>
      </rPr>
      <t>g/ml)</t>
    </r>
  </si>
  <si>
    <r>
      <t>MIT (</t>
    </r>
    <r>
      <rPr>
        <sz val="11"/>
        <color theme="1"/>
        <rFont val="Symbol"/>
        <family val="1"/>
        <charset val="2"/>
      </rPr>
      <t>m</t>
    </r>
    <r>
      <rPr>
        <sz val="11"/>
        <color theme="1"/>
        <rFont val="Calibri"/>
        <family val="2"/>
        <scheme val="minor"/>
      </rPr>
      <t>g/ml)</t>
    </r>
  </si>
  <si>
    <r>
      <t>CV 75 (</t>
    </r>
    <r>
      <rPr>
        <sz val="11"/>
        <color theme="1"/>
        <rFont val="Symbol"/>
        <family val="1"/>
        <charset val="2"/>
      </rPr>
      <t>m</t>
    </r>
    <r>
      <rPr>
        <sz val="11"/>
        <color theme="1"/>
        <rFont val="Calibri"/>
        <family val="2"/>
        <scheme val="minor"/>
      </rPr>
      <t>g/ml)</t>
    </r>
  </si>
  <si>
    <r>
      <t>MIT (</t>
    </r>
    <r>
      <rPr>
        <sz val="11"/>
        <color theme="1"/>
        <rFont val="Symbol"/>
        <family val="1"/>
        <charset val="2"/>
      </rPr>
      <t>m</t>
    </r>
    <r>
      <rPr>
        <sz val="11"/>
        <color theme="1"/>
        <rFont val="Calibri"/>
        <family val="2"/>
        <scheme val="minor"/>
      </rPr>
      <t xml:space="preserve">M) </t>
    </r>
  </si>
  <si>
    <r>
      <t>CV 75 (</t>
    </r>
    <r>
      <rPr>
        <sz val="11"/>
        <color theme="1"/>
        <rFont val="Symbol"/>
        <family val="1"/>
        <charset val="2"/>
      </rPr>
      <t>m</t>
    </r>
    <r>
      <rPr>
        <sz val="11"/>
        <color theme="1"/>
        <rFont val="Calibri"/>
        <family val="2"/>
        <scheme val="minor"/>
      </rPr>
      <t xml:space="preserve">M) </t>
    </r>
  </si>
  <si>
    <t>Chemical identifier</t>
  </si>
  <si>
    <t>Chemical Name</t>
  </si>
  <si>
    <t>CAS Nr.</t>
  </si>
  <si>
    <t>MW</t>
  </si>
  <si>
    <r>
      <t>IC 50 (</t>
    </r>
    <r>
      <rPr>
        <sz val="11"/>
        <color theme="1"/>
        <rFont val="Symbol"/>
        <family val="1"/>
        <charset val="2"/>
      </rPr>
      <t>m</t>
    </r>
    <r>
      <rPr>
        <sz val="11"/>
        <color theme="1"/>
        <rFont val="Calibri"/>
        <family val="2"/>
        <scheme val="minor"/>
      </rPr>
      <t>M) consolidated</t>
    </r>
  </si>
  <si>
    <t>LOG norm IC 50 KS</t>
  </si>
  <si>
    <t>Log norm MIT h-CLAT</t>
  </si>
  <si>
    <t>Log norm CV75 h-CLAT</t>
  </si>
  <si>
    <t>Global model KS + kDPRA Equation 1</t>
  </si>
  <si>
    <t>Global model KS + h-CLAT Equation 6</t>
  </si>
  <si>
    <t>Global model kDPRA + h-CLAT Equation 4</t>
  </si>
  <si>
    <t>Global model KS + kDPRA + h-CLAT Equation 5</t>
  </si>
  <si>
    <t>pEC3</t>
  </si>
  <si>
    <t>EC3</t>
  </si>
  <si>
    <t>Global model KS + h-CLAT Equation 7</t>
  </si>
  <si>
    <r>
      <t>EC 3 (</t>
    </r>
    <r>
      <rPr>
        <sz val="11"/>
        <color theme="1"/>
        <rFont val="Symbol"/>
        <family val="1"/>
        <charset val="2"/>
      </rPr>
      <t>m</t>
    </r>
    <r>
      <rPr>
        <sz val="11"/>
        <color theme="1"/>
        <rFont val="Calibri"/>
        <family val="2"/>
        <scheme val="minor"/>
      </rPr>
      <t>M)</t>
    </r>
  </si>
  <si>
    <t>EC 3 (ppm)</t>
  </si>
  <si>
    <r>
      <t>EC 3 (</t>
    </r>
    <r>
      <rPr>
        <sz val="11"/>
        <color theme="1"/>
        <rFont val="Symbol"/>
        <family val="1"/>
        <charset val="2"/>
      </rPr>
      <t>m</t>
    </r>
    <r>
      <rPr>
        <sz val="11"/>
        <color theme="1"/>
        <rFont val="Calibri"/>
        <family val="2"/>
        <scheme val="minor"/>
      </rPr>
      <t>M) consolidated</t>
    </r>
  </si>
  <si>
    <t>LOG norm EC3 KS</t>
  </si>
  <si>
    <t>Vapor pressure</t>
  </si>
  <si>
    <t>Lognorm VP</t>
  </si>
  <si>
    <t>DNCB</t>
  </si>
  <si>
    <t>2,4-dinitrochlorobenzene</t>
  </si>
  <si>
    <t>97-00-7</t>
  </si>
  <si>
    <t>Cinnamic aldehyde</t>
  </si>
  <si>
    <t>105-55-2</t>
  </si>
  <si>
    <t>If no induction above threshold, give default value = 5000</t>
  </si>
  <si>
    <t>If no induction above threshold, give default value = 4000</t>
  </si>
  <si>
    <t>RESULTS</t>
  </si>
  <si>
    <t>Rating PM (0/1)</t>
  </si>
  <si>
    <t>If no induction / cytotoxicity above threshold, give default value = 4000</t>
  </si>
  <si>
    <t>If no induction/cytotoxicity above threshold, give default value = 5000</t>
  </si>
  <si>
    <t>Vapor pressure (Pa)</t>
  </si>
  <si>
    <t>Comments</t>
  </si>
  <si>
    <t>Yellow fields only to be filled by user</t>
  </si>
  <si>
    <t>Enter Log kMax, chemicals which were tested and are non-reactive have a Log kmax = -3.5; leave cell empty if not tested in kDPRA</t>
  </si>
  <si>
    <t>Indicate the rating by h-CLAT, 1 for posive, 0 for negative; if not tested leave cell blank. Borderline positives are positive</t>
  </si>
  <si>
    <t>Vapor pressure e.g. on https://comptox.epa.gov/dashboard/ is in mm Hg, mmHg can be transformed to Pa by multiplying with 133</t>
  </si>
  <si>
    <t>Enter data in ppm in below cells if chemical not tested based on molarity, else leave below three cells blank</t>
  </si>
  <si>
    <t>Add Molecular weight, if no molecular weight known and molecule tested based on 4% stock solution enter 200 Da</t>
  </si>
  <si>
    <r>
      <t xml:space="preserve">Add Vapor pressure in </t>
    </r>
    <r>
      <rPr>
        <b/>
        <i/>
        <sz val="11"/>
        <color rgb="FF0070C0"/>
        <rFont val="Calibri"/>
        <family val="2"/>
        <scheme val="minor"/>
      </rPr>
      <t>Pascal (Pa)</t>
    </r>
    <r>
      <rPr>
        <i/>
        <sz val="11"/>
        <color rgb="FF0070C0"/>
        <rFont val="Calibri"/>
        <family val="2"/>
        <scheme val="minor"/>
      </rPr>
      <t xml:space="preserve"> as calculated with TIMES SS or with other software (e.g. https://comptox.epa.gov/dashboard/)</t>
    </r>
  </si>
  <si>
    <t>Indicate the rating by Keratinosens, 1 for posive, 0 for negative; if not tested leave cell blank. Borderline positives are positive and viceversa</t>
  </si>
  <si>
    <r>
      <t xml:space="preserve">For cells with less than 50% reduction in viability, default value is 4000 </t>
    </r>
    <r>
      <rPr>
        <i/>
        <sz val="11"/>
        <color rgb="FF0070C0"/>
        <rFont val="Symbol"/>
        <family val="1"/>
        <charset val="2"/>
      </rPr>
      <t>m</t>
    </r>
    <r>
      <rPr>
        <i/>
        <sz val="11"/>
        <color rgb="FF0070C0"/>
        <rFont val="Calibri"/>
        <family val="2"/>
        <scheme val="minor"/>
      </rPr>
      <t>M</t>
    </r>
  </si>
  <si>
    <r>
      <t xml:space="preserve">For cells with no induction above threshold of 3- fold stimulation, default value is 4000 </t>
    </r>
    <r>
      <rPr>
        <i/>
        <sz val="11"/>
        <color rgb="FF0070C0"/>
        <rFont val="Symbol"/>
        <family val="1"/>
        <charset val="2"/>
      </rPr>
      <t>m</t>
    </r>
    <r>
      <rPr>
        <i/>
        <sz val="11"/>
        <color rgb="FF0070C0"/>
        <rFont val="Calibri"/>
        <family val="2"/>
        <scheme val="minor"/>
      </rPr>
      <t>M</t>
    </r>
  </si>
  <si>
    <r>
      <t xml:space="preserve">For cells with no induction above threshold of 1.5- fold stimulation, default value is 4000 </t>
    </r>
    <r>
      <rPr>
        <i/>
        <sz val="11"/>
        <color rgb="FF0070C0"/>
        <rFont val="Symbol"/>
        <family val="1"/>
        <charset val="2"/>
      </rPr>
      <t>m</t>
    </r>
    <r>
      <rPr>
        <i/>
        <sz val="11"/>
        <color rgb="FF0070C0"/>
        <rFont val="Calibri"/>
        <family val="2"/>
        <scheme val="minor"/>
      </rPr>
      <t>M</t>
    </r>
  </si>
  <si>
    <t>For cells with no induction above threshold of 1.5- fold stimulation, default value is 800 ppm</t>
  </si>
  <si>
    <t>For cells with no induction above threshold of 3- fold stimulation, default value is 800 ppm</t>
  </si>
  <si>
    <t>For cells with less than 50% reduction in viability, default value is 800 ppm</t>
  </si>
  <si>
    <t>For cells with no induction above threshold of 150%, default value is 5000 ppm</t>
  </si>
  <si>
    <t>For cells with no induction above threshold of 200%, default value is 5000 ppm</t>
  </si>
  <si>
    <t>For cells with less than 25% reduction in viability, default value is 5000 ppm</t>
  </si>
  <si>
    <t>Note: A discrete calculated EC3 value &lt; 100% due to the positive y-intercept of the model does not indicate that the chemical has to be classified as a sensitizer. The hazard assessment on classification should be based on a DA according TG497 or based on weight of evidence from  multiple tests and structural alerts. The calculated EC3 is to be used for potency assessment of chemicals rated positive as sensitizer by such an independent, parallel analysis.</t>
  </si>
  <si>
    <t>Natsch and Gerberick:</t>
  </si>
  <si>
    <t>Integrated Skin Sensitization Assessment Based on OECD Methods (I): Deriving a Point of Departure for Risk Assessment</t>
  </si>
  <si>
    <t>Supplementary material: ESM2</t>
  </si>
  <si>
    <t>doi:10.14573/altex.2201141s2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</si>
</sst>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1"/>
      <color theme="1"/>
      <name val="Symbol"/>
      <family val="1"/>
      <charset val="2"/>
    </font>
    <font>
      <b/>
      <sz val="11"/>
      <color rgb="FFFF0000"/>
      <name val="Calibri"/>
      <family val="2"/>
      <scheme val="minor"/>
    </font>
    <font>
      <sz val="11"/>
      <color rgb="FFFF0000"/>
      <name val="Calibri"/>
      <family val="2"/>
      <scheme val="minor"/>
    </font>
    <font>
      <i/>
      <sz val="11"/>
      <color theme="1"/>
      <name val="Calibri"/>
      <family val="2"/>
      <scheme val="minor"/>
    </font>
    <font>
      <i/>
      <sz val="11"/>
      <color rgb="FF0070C0"/>
      <name val="Calibri"/>
      <family val="2"/>
      <scheme val="minor"/>
    </font>
    <font>
      <sz val="11"/>
      <color rgb="FF0070C0"/>
      <name val="Calibri"/>
      <family val="2"/>
      <scheme val="minor"/>
    </font>
    <font>
      <b/>
      <i/>
      <sz val="11"/>
      <color rgb="FF0070C0"/>
      <name val="Calibri"/>
      <family val="2"/>
      <scheme val="minor"/>
    </font>
    <font>
      <i/>
      <sz val="11"/>
      <color rgb="FF0070C0"/>
      <name val="Symbol"/>
      <family val="1"/>
      <charset val="2"/>
    </font>
    <font>
      <i/>
      <sz val="11"/>
      <color theme="1"/>
      <name val="Arial"/>
      <family val="2"/>
    </font>
    <font>
      <b/>
      <sz val="18"/>
      <color theme="1"/>
      <name val="Arial"/>
      <family val="2"/>
    </font>
    <font>
      <sz val="9"/>
      <color theme="1"/>
      <name val="Arial"/>
      <family val="2"/>
    </font>
    <font>
      <b/>
      <sz val="14"/>
      <color theme="1"/>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85">
    <xf numFmtId="0" fontId="0" fillId="0" borderId="0" xfId="0"/>
    <xf numFmtId="0" fontId="0" fillId="0" borderId="1" xfId="0" applyBorder="1"/>
    <xf numFmtId="0" fontId="0" fillId="2" borderId="1" xfId="0" applyFill="1" applyBorder="1"/>
    <xf numFmtId="0" fontId="0" fillId="3" borderId="1" xfId="0" applyFill="1" applyBorder="1"/>
    <xf numFmtId="0" fontId="3" fillId="0" borderId="0" xfId="0" applyFont="1"/>
    <xf numFmtId="0" fontId="1" fillId="0" borderId="2" xfId="0" applyFont="1" applyBorder="1"/>
    <xf numFmtId="0" fontId="0" fillId="0" borderId="3" xfId="0" applyBorder="1"/>
    <xf numFmtId="0" fontId="0" fillId="0" borderId="5" xfId="0" applyBorder="1"/>
    <xf numFmtId="0" fontId="0" fillId="0" borderId="0" xfId="0" applyBorder="1"/>
    <xf numFmtId="0" fontId="0" fillId="0" borderId="7" xfId="0" applyFill="1" applyBorder="1"/>
    <xf numFmtId="0" fontId="0" fillId="4" borderId="7" xfId="0" applyFill="1" applyBorder="1"/>
    <xf numFmtId="0" fontId="0" fillId="0" borderId="8" xfId="0" applyBorder="1"/>
    <xf numFmtId="0" fontId="0" fillId="2" borderId="9" xfId="0" applyFill="1" applyBorder="1"/>
    <xf numFmtId="0" fontId="0" fillId="0" borderId="10" xfId="0" applyBorder="1"/>
    <xf numFmtId="0" fontId="0" fillId="0" borderId="9" xfId="0" applyBorder="1"/>
    <xf numFmtId="0" fontId="0" fillId="4" borderId="11" xfId="0" applyFill="1" applyBorder="1"/>
    <xf numFmtId="0" fontId="0" fillId="0" borderId="4" xfId="0" applyBorder="1"/>
    <xf numFmtId="0" fontId="0" fillId="0" borderId="7" xfId="0" applyBorder="1"/>
    <xf numFmtId="0" fontId="0" fillId="4" borderId="6" xfId="0" applyFill="1" applyBorder="1"/>
    <xf numFmtId="0" fontId="0" fillId="0" borderId="12" xfId="0" applyBorder="1"/>
    <xf numFmtId="0" fontId="0" fillId="0" borderId="6" xfId="0" applyBorder="1"/>
    <xf numFmtId="0" fontId="0" fillId="0" borderId="13" xfId="0" applyBorder="1"/>
    <xf numFmtId="0" fontId="0" fillId="0" borderId="0" xfId="0" applyFill="1" applyAlignment="1">
      <alignment horizontal="left" vertical="top"/>
    </xf>
    <xf numFmtId="0" fontId="0" fillId="0" borderId="15" xfId="0" applyBorder="1"/>
    <xf numFmtId="0" fontId="0" fillId="0" borderId="16" xfId="0" applyFill="1" applyBorder="1" applyAlignment="1">
      <alignment horizontal="left" vertical="top"/>
    </xf>
    <xf numFmtId="0" fontId="0" fillId="0" borderId="0" xfId="0" applyAlignment="1">
      <alignment horizontal="center"/>
    </xf>
    <xf numFmtId="0" fontId="0" fillId="0" borderId="1" xfId="0" applyFont="1" applyFill="1" applyBorder="1" applyAlignment="1">
      <alignment horizontal="center" vertical="top" wrapText="1"/>
    </xf>
    <xf numFmtId="2" fontId="0" fillId="0" borderId="0" xfId="0" applyNumberFormat="1" applyAlignment="1">
      <alignment horizontal="center"/>
    </xf>
    <xf numFmtId="0" fontId="4" fillId="0" borderId="0" xfId="0" applyFont="1"/>
    <xf numFmtId="0" fontId="0" fillId="0" borderId="3" xfId="0" applyBorder="1" applyAlignment="1">
      <alignment horizontal="center"/>
    </xf>
    <xf numFmtId="0" fontId="0" fillId="0" borderId="4" xfId="0" applyBorder="1" applyAlignment="1">
      <alignment horizontal="center"/>
    </xf>
    <xf numFmtId="2" fontId="0" fillId="5" borderId="7" xfId="0" applyNumberFormat="1" applyFill="1" applyBorder="1" applyAlignment="1">
      <alignment horizontal="center"/>
    </xf>
    <xf numFmtId="2" fontId="0" fillId="0" borderId="1" xfId="0" applyNumberFormat="1" applyBorder="1"/>
    <xf numFmtId="0" fontId="5" fillId="0" borderId="0" xfId="0" applyFont="1"/>
    <xf numFmtId="0" fontId="0" fillId="0" borderId="24" xfId="0" applyBorder="1"/>
    <xf numFmtId="0" fontId="0" fillId="0" borderId="25" xfId="0" applyBorder="1"/>
    <xf numFmtId="0" fontId="0" fillId="2" borderId="23" xfId="0" applyFill="1" applyBorder="1"/>
    <xf numFmtId="0" fontId="0" fillId="2" borderId="25" xfId="0" applyFill="1" applyBorder="1"/>
    <xf numFmtId="0" fontId="6" fillId="0" borderId="23" xfId="0" applyFont="1" applyBorder="1"/>
    <xf numFmtId="0" fontId="7" fillId="0" borderId="24" xfId="0" applyFont="1" applyBorder="1"/>
    <xf numFmtId="0" fontId="7" fillId="0" borderId="25" xfId="0" applyFont="1" applyBorder="1"/>
    <xf numFmtId="0" fontId="6" fillId="0" borderId="0" xfId="0" applyFont="1"/>
    <xf numFmtId="0" fontId="7" fillId="0" borderId="0" xfId="0" applyFont="1"/>
    <xf numFmtId="0" fontId="6" fillId="0" borderId="17" xfId="0" applyFont="1" applyBorder="1"/>
    <xf numFmtId="0" fontId="7" fillId="0" borderId="18" xfId="0" applyFont="1" applyBorder="1"/>
    <xf numFmtId="0" fontId="7" fillId="0" borderId="19" xfId="0" applyFont="1" applyBorder="1"/>
    <xf numFmtId="0" fontId="6" fillId="0" borderId="20" xfId="0" applyFont="1" applyBorder="1"/>
    <xf numFmtId="0" fontId="7" fillId="0" borderId="21" xfId="0" applyFont="1" applyBorder="1"/>
    <xf numFmtId="0" fontId="7" fillId="0" borderId="22" xfId="0" applyFont="1" applyBorder="1"/>
    <xf numFmtId="0" fontId="8" fillId="0" borderId="0" xfId="0" applyFont="1"/>
    <xf numFmtId="0" fontId="6" fillId="0" borderId="26" xfId="0" applyFont="1" applyBorder="1"/>
    <xf numFmtId="0" fontId="7" fillId="0" borderId="26" xfId="0" applyFont="1" applyBorder="1"/>
    <xf numFmtId="0" fontId="6" fillId="0" borderId="0" xfId="0" applyFont="1" applyBorder="1"/>
    <xf numFmtId="0" fontId="7" fillId="0" borderId="0" xfId="0" applyFont="1" applyBorder="1"/>
    <xf numFmtId="0" fontId="5" fillId="0" borderId="0" xfId="0" applyFont="1" applyBorder="1"/>
    <xf numFmtId="0" fontId="10" fillId="0" borderId="0" xfId="0" applyFont="1" applyAlignment="1">
      <alignment vertical="center"/>
    </xf>
    <xf numFmtId="0" fontId="12" fillId="0" borderId="0" xfId="0" applyFont="1" applyAlignment="1">
      <alignment vertical="center"/>
    </xf>
    <xf numFmtId="0" fontId="13" fillId="0" borderId="0" xfId="0" applyFont="1"/>
    <xf numFmtId="0" fontId="11" fillId="0" borderId="0" xfId="0" applyFont="1"/>
    <xf numFmtId="0" fontId="6" fillId="0" borderId="17" xfId="0"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7" xfId="0" applyFont="1" applyBorder="1" applyAlignment="1">
      <alignment horizontal="center" wrapText="1"/>
    </xf>
    <xf numFmtId="0" fontId="6" fillId="0" borderId="0" xfId="0" applyFont="1" applyBorder="1" applyAlignment="1">
      <alignment horizontal="center" wrapText="1"/>
    </xf>
    <xf numFmtId="0" fontId="6" fillId="0" borderId="28"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0" fillId="0" borderId="5"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6" borderId="0" xfId="0" applyFill="1" applyBorder="1" applyAlignment="1">
      <alignment horizontal="center" wrapText="1"/>
    </xf>
    <xf numFmtId="0" fontId="0" fillId="6" borderId="6" xfId="0" applyFill="1" applyBorder="1" applyAlignment="1">
      <alignment horizontal="center" wrapText="1"/>
    </xf>
    <xf numFmtId="0" fontId="0" fillId="6" borderId="10" xfId="0" applyFill="1" applyBorder="1" applyAlignment="1">
      <alignment horizontal="center" wrapText="1"/>
    </xf>
    <xf numFmtId="0" fontId="0" fillId="6" borderId="14" xfId="0" applyFill="1" applyBorder="1" applyAlignment="1">
      <alignment horizontal="center" wrapText="1"/>
    </xf>
    <xf numFmtId="0" fontId="0" fillId="6" borderId="3" xfId="0" applyFill="1" applyBorder="1" applyAlignment="1">
      <alignment horizontal="center" wrapText="1"/>
    </xf>
    <xf numFmtId="0" fontId="0" fillId="6" borderId="4" xfId="0" applyFill="1" applyBorder="1" applyAlignment="1">
      <alignment horizontal="center" wrapText="1"/>
    </xf>
    <xf numFmtId="0" fontId="0" fillId="2" borderId="0" xfId="0" applyFill="1" applyBorder="1" applyAlignment="1">
      <alignment horizontal="center" wrapText="1"/>
    </xf>
    <xf numFmtId="0" fontId="0" fillId="2" borderId="6" xfId="0" applyFill="1" applyBorder="1" applyAlignment="1">
      <alignment horizontal="center" wrapText="1"/>
    </xf>
    <xf numFmtId="0" fontId="0" fillId="2" borderId="10" xfId="0" applyFill="1" applyBorder="1" applyAlignment="1">
      <alignment horizontal="center" wrapText="1"/>
    </xf>
    <xf numFmtId="0" fontId="0" fillId="2" borderId="14"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15" fillId="0" borderId="0" xfId="1" applyFo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i.org/10.14573/altex.2201141s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85599-7EC4-408C-BC09-523653C15240}">
  <dimension ref="A1:A6"/>
  <sheetViews>
    <sheetView tabSelected="1" workbookViewId="0">
      <selection activeCell="C13" sqref="C13"/>
    </sheetView>
  </sheetViews>
  <sheetFormatPr baseColWidth="10" defaultRowHeight="14.4" x14ac:dyDescent="0.3"/>
  <sheetData>
    <row r="1" spans="1:1" x14ac:dyDescent="0.3">
      <c r="A1" s="55" t="s">
        <v>71</v>
      </c>
    </row>
    <row r="2" spans="1:1" ht="22.8" x14ac:dyDescent="0.4">
      <c r="A2" s="58" t="s">
        <v>72</v>
      </c>
    </row>
    <row r="3" spans="1:1" x14ac:dyDescent="0.3">
      <c r="A3" s="56"/>
    </row>
    <row r="4" spans="1:1" ht="17.399999999999999" x14ac:dyDescent="0.3">
      <c r="A4" s="57" t="s">
        <v>73</v>
      </c>
    </row>
    <row r="6" spans="1:1" x14ac:dyDescent="0.3">
      <c r="A6" s="84" t="s">
        <v>74</v>
      </c>
    </row>
  </sheetData>
  <hyperlinks>
    <hyperlink ref="A6" r:id="rId1" display="https://doi.org/10.14573/altex.2201141s2" xr:uid="{4095AB39-353D-4E5F-8DFF-1802E1EFE653}"/>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workbookViewId="0">
      <selection activeCell="U17" sqref="U17"/>
    </sheetView>
  </sheetViews>
  <sheetFormatPr baseColWidth="10" defaultColWidth="8.88671875" defaultRowHeight="14.4" x14ac:dyDescent="0.3"/>
  <cols>
    <col min="1" max="1" width="19.44140625" customWidth="1"/>
    <col min="2" max="2" width="13.6640625" customWidth="1"/>
    <col min="3" max="3" width="13.88671875" customWidth="1"/>
    <col min="4" max="4" width="22.33203125" customWidth="1"/>
    <col min="5" max="5" width="18.109375" customWidth="1"/>
    <col min="7" max="7" width="8.88671875" style="33"/>
    <col min="18" max="18" width="17.88671875" customWidth="1"/>
  </cols>
  <sheetData>
    <row r="1" spans="1:18" x14ac:dyDescent="0.3">
      <c r="A1" s="1" t="s">
        <v>19</v>
      </c>
      <c r="B1" s="2"/>
      <c r="D1" s="36" t="s">
        <v>53</v>
      </c>
      <c r="E1" s="37"/>
      <c r="G1" s="38" t="s">
        <v>52</v>
      </c>
      <c r="H1" s="39"/>
      <c r="I1" s="39"/>
      <c r="J1" s="39"/>
      <c r="K1" s="39"/>
      <c r="L1" s="39"/>
      <c r="M1" s="39"/>
      <c r="N1" s="39"/>
      <c r="O1" s="39"/>
      <c r="P1" s="39"/>
      <c r="Q1" s="39"/>
      <c r="R1" s="40"/>
    </row>
    <row r="2" spans="1:18" x14ac:dyDescent="0.3">
      <c r="A2" s="1" t="s">
        <v>20</v>
      </c>
      <c r="B2" s="2"/>
      <c r="D2" s="28"/>
      <c r="G2" s="41"/>
      <c r="H2" s="42"/>
      <c r="I2" s="42"/>
      <c r="J2" s="42"/>
      <c r="K2" s="42"/>
      <c r="L2" s="42"/>
      <c r="M2" s="42"/>
      <c r="N2" s="42"/>
      <c r="O2" s="42"/>
      <c r="P2" s="42"/>
      <c r="Q2" s="42"/>
      <c r="R2" s="42"/>
    </row>
    <row r="3" spans="1:18" x14ac:dyDescent="0.3">
      <c r="A3" s="1" t="s">
        <v>21</v>
      </c>
      <c r="B3" s="2"/>
      <c r="G3" s="41"/>
      <c r="H3" s="42"/>
      <c r="I3" s="42"/>
      <c r="J3" s="42"/>
      <c r="K3" s="42"/>
      <c r="L3" s="42"/>
      <c r="M3" s="42"/>
      <c r="N3" s="42"/>
      <c r="O3" s="42"/>
      <c r="P3" s="42"/>
      <c r="Q3" s="42"/>
      <c r="R3" s="42"/>
    </row>
    <row r="4" spans="1:18" ht="15" thickBot="1" x14ac:dyDescent="0.35">
      <c r="A4" s="1" t="s">
        <v>22</v>
      </c>
      <c r="B4" s="2"/>
      <c r="G4" s="38" t="s">
        <v>58</v>
      </c>
      <c r="H4" s="39"/>
      <c r="I4" s="39"/>
      <c r="J4" s="39"/>
      <c r="K4" s="39"/>
      <c r="L4" s="39"/>
      <c r="M4" s="39"/>
      <c r="N4" s="39"/>
      <c r="O4" s="39"/>
      <c r="P4" s="39"/>
      <c r="Q4" s="39"/>
      <c r="R4" s="40"/>
    </row>
    <row r="5" spans="1:18" ht="15" thickBot="1" x14ac:dyDescent="0.35">
      <c r="A5" s="1" t="s">
        <v>51</v>
      </c>
      <c r="B5" s="2"/>
      <c r="C5" s="22"/>
      <c r="D5" s="23" t="s">
        <v>39</v>
      </c>
      <c r="E5" s="24">
        <f>IF(B5&gt;10,LOG(B5)-1,0)</f>
        <v>0</v>
      </c>
      <c r="G5" s="43" t="s">
        <v>59</v>
      </c>
      <c r="H5" s="44"/>
      <c r="I5" s="44"/>
      <c r="J5" s="44"/>
      <c r="K5" s="44"/>
      <c r="L5" s="44"/>
      <c r="M5" s="44"/>
      <c r="N5" s="44"/>
      <c r="O5" s="44"/>
      <c r="P5" s="44"/>
      <c r="Q5" s="44"/>
      <c r="R5" s="45"/>
    </row>
    <row r="6" spans="1:18" ht="15" thickBot="1" x14ac:dyDescent="0.35">
      <c r="G6" s="46" t="s">
        <v>56</v>
      </c>
      <c r="H6" s="47"/>
      <c r="I6" s="47"/>
      <c r="J6" s="47"/>
      <c r="K6" s="47"/>
      <c r="L6" s="47"/>
      <c r="M6" s="47"/>
      <c r="N6" s="47"/>
      <c r="O6" s="47"/>
      <c r="P6" s="47"/>
      <c r="Q6" s="47"/>
      <c r="R6" s="48"/>
    </row>
    <row r="7" spans="1:18" x14ac:dyDescent="0.3">
      <c r="A7" s="5" t="s">
        <v>0</v>
      </c>
      <c r="B7" s="6"/>
      <c r="C7" s="6"/>
      <c r="D7" s="6"/>
      <c r="E7" s="16"/>
      <c r="G7" s="41"/>
      <c r="H7" s="42"/>
      <c r="I7" s="42"/>
      <c r="J7" s="42"/>
      <c r="K7" s="42"/>
      <c r="L7" s="42"/>
      <c r="M7" s="42"/>
      <c r="N7" s="42"/>
      <c r="O7" s="42"/>
      <c r="P7" s="42"/>
      <c r="Q7" s="42"/>
      <c r="R7" s="42"/>
    </row>
    <row r="8" spans="1:18" x14ac:dyDescent="0.3">
      <c r="A8" s="7" t="s">
        <v>48</v>
      </c>
      <c r="B8" s="2"/>
      <c r="C8" s="8"/>
      <c r="D8" s="1" t="s">
        <v>7</v>
      </c>
      <c r="E8" s="17" t="str">
        <f>IF(B8="","",IF(B9="",B13*5,B9))</f>
        <v/>
      </c>
      <c r="G8" s="50" t="s">
        <v>60</v>
      </c>
      <c r="H8" s="51"/>
      <c r="I8" s="51"/>
      <c r="J8" s="51"/>
      <c r="K8" s="51"/>
      <c r="L8" s="51"/>
      <c r="M8" s="51"/>
      <c r="N8" s="51"/>
      <c r="O8" s="51"/>
      <c r="P8" s="51"/>
      <c r="Q8" s="51"/>
      <c r="R8" s="51"/>
    </row>
    <row r="9" spans="1:18" x14ac:dyDescent="0.3">
      <c r="A9" s="7" t="s">
        <v>1</v>
      </c>
      <c r="B9" s="2"/>
      <c r="C9" s="8"/>
      <c r="D9" s="1" t="s">
        <v>8</v>
      </c>
      <c r="E9" s="18" t="e">
        <f>-LOG(E8)+LOG(4000)</f>
        <v>#VALUE!</v>
      </c>
      <c r="G9" s="38" t="s">
        <v>63</v>
      </c>
      <c r="H9" s="39"/>
      <c r="I9" s="39"/>
      <c r="J9" s="39"/>
      <c r="K9" s="39"/>
      <c r="L9" s="39"/>
      <c r="M9" s="39"/>
      <c r="N9" s="39"/>
      <c r="O9" s="39"/>
      <c r="P9" s="39"/>
      <c r="Q9" s="39"/>
      <c r="R9" s="40"/>
    </row>
    <row r="10" spans="1:18" x14ac:dyDescent="0.3">
      <c r="A10" s="7" t="s">
        <v>34</v>
      </c>
      <c r="B10" s="2"/>
      <c r="C10" s="8"/>
      <c r="D10" s="1" t="s">
        <v>36</v>
      </c>
      <c r="E10" s="17" t="str">
        <f>IF(B8="","",IF(B10="",B14*5,B10))</f>
        <v/>
      </c>
      <c r="G10" s="38" t="s">
        <v>62</v>
      </c>
      <c r="H10" s="39"/>
      <c r="I10" s="39"/>
      <c r="J10" s="39"/>
      <c r="K10" s="39"/>
      <c r="L10" s="39"/>
      <c r="M10" s="39"/>
      <c r="N10" s="39"/>
      <c r="O10" s="39"/>
      <c r="P10" s="39"/>
      <c r="Q10" s="39"/>
      <c r="R10" s="40"/>
    </row>
    <row r="11" spans="1:18" x14ac:dyDescent="0.3">
      <c r="A11" s="7" t="s">
        <v>2</v>
      </c>
      <c r="B11" s="2"/>
      <c r="C11" s="8"/>
      <c r="D11" s="1" t="s">
        <v>37</v>
      </c>
      <c r="E11" s="18" t="e">
        <f>-LOG(E10)+LOG(4000)</f>
        <v>#VALUE!</v>
      </c>
      <c r="G11" s="38" t="s">
        <v>61</v>
      </c>
      <c r="H11" s="39"/>
      <c r="I11" s="39"/>
      <c r="J11" s="39"/>
      <c r="K11" s="39"/>
      <c r="L11" s="39"/>
      <c r="M11" s="39"/>
      <c r="N11" s="39"/>
      <c r="O11" s="39"/>
      <c r="P11" s="39"/>
      <c r="Q11" s="39"/>
      <c r="R11" s="40"/>
    </row>
    <row r="12" spans="1:18" x14ac:dyDescent="0.3">
      <c r="A12" s="19" t="s">
        <v>3</v>
      </c>
      <c r="B12" s="8"/>
      <c r="C12" s="8"/>
      <c r="D12" s="1" t="s">
        <v>23</v>
      </c>
      <c r="E12" s="17" t="str">
        <f>IF(B8="","",IF(B11="",B15*5,B11))</f>
        <v/>
      </c>
      <c r="G12" s="38" t="s">
        <v>57</v>
      </c>
      <c r="H12" s="39"/>
      <c r="I12" s="39"/>
      <c r="J12" s="39"/>
      <c r="K12" s="39"/>
      <c r="L12" s="39"/>
      <c r="M12" s="39"/>
      <c r="N12" s="39"/>
      <c r="O12" s="39"/>
      <c r="P12" s="39"/>
      <c r="Q12" s="39"/>
      <c r="R12" s="40"/>
    </row>
    <row r="13" spans="1:18" x14ac:dyDescent="0.3">
      <c r="A13" s="7" t="s">
        <v>4</v>
      </c>
      <c r="B13" s="3"/>
      <c r="C13" s="8"/>
      <c r="D13" s="1" t="s">
        <v>24</v>
      </c>
      <c r="E13" s="18" t="e">
        <f>-LOG(E12)+LOG(4000)</f>
        <v>#VALUE!</v>
      </c>
      <c r="G13" s="38" t="s">
        <v>64</v>
      </c>
      <c r="H13" s="39"/>
      <c r="I13" s="39"/>
      <c r="J13" s="39"/>
      <c r="K13" s="39"/>
      <c r="L13" s="39"/>
      <c r="M13" s="39"/>
      <c r="N13" s="39"/>
      <c r="O13" s="39"/>
      <c r="P13" s="39"/>
      <c r="Q13" s="39"/>
      <c r="R13" s="40"/>
    </row>
    <row r="14" spans="1:18" x14ac:dyDescent="0.3">
      <c r="A14" s="7" t="s">
        <v>35</v>
      </c>
      <c r="B14" s="3"/>
      <c r="C14" s="8"/>
      <c r="D14" s="8"/>
      <c r="E14" s="20"/>
      <c r="G14" s="38" t="s">
        <v>65</v>
      </c>
      <c r="H14" s="39"/>
      <c r="I14" s="39"/>
      <c r="J14" s="39"/>
      <c r="K14" s="39"/>
      <c r="L14" s="39"/>
      <c r="M14" s="39"/>
      <c r="N14" s="39"/>
      <c r="O14" s="39"/>
      <c r="P14" s="39"/>
      <c r="Q14" s="39"/>
      <c r="R14" s="40"/>
    </row>
    <row r="15" spans="1:18" ht="14.4" customHeight="1" x14ac:dyDescent="0.3">
      <c r="A15" s="7" t="s">
        <v>5</v>
      </c>
      <c r="B15" s="3"/>
      <c r="C15" s="8"/>
      <c r="D15" s="72" t="s">
        <v>49</v>
      </c>
      <c r="E15" s="73"/>
      <c r="G15" s="38" t="s">
        <v>66</v>
      </c>
      <c r="H15" s="39"/>
      <c r="I15" s="39"/>
      <c r="J15" s="39"/>
      <c r="K15" s="39"/>
      <c r="L15" s="39"/>
      <c r="M15" s="39"/>
      <c r="N15" s="39"/>
      <c r="O15" s="39"/>
      <c r="P15" s="39"/>
      <c r="Q15" s="39"/>
      <c r="R15" s="40"/>
    </row>
    <row r="16" spans="1:18" ht="15" thickBot="1" x14ac:dyDescent="0.35">
      <c r="A16" s="21"/>
      <c r="B16" s="13"/>
      <c r="C16" s="13"/>
      <c r="D16" s="74"/>
      <c r="E16" s="75"/>
      <c r="G16" s="52"/>
      <c r="H16" s="53"/>
      <c r="I16" s="53"/>
      <c r="J16" s="53"/>
      <c r="K16" s="53"/>
      <c r="L16" s="53"/>
      <c r="M16" s="53"/>
      <c r="N16" s="53"/>
      <c r="O16" s="53"/>
      <c r="P16" s="53"/>
      <c r="Q16" s="53"/>
      <c r="R16" s="53"/>
    </row>
    <row r="17" spans="1:18" ht="15" thickBot="1" x14ac:dyDescent="0.35">
      <c r="G17" s="52"/>
      <c r="H17" s="53"/>
      <c r="I17" s="53"/>
      <c r="J17" s="53"/>
      <c r="K17" s="53"/>
      <c r="L17" s="53"/>
      <c r="M17" s="53"/>
      <c r="N17" s="53"/>
      <c r="O17" s="53"/>
      <c r="P17" s="53"/>
      <c r="Q17" s="53"/>
      <c r="R17" s="53"/>
    </row>
    <row r="18" spans="1:18" x14ac:dyDescent="0.3">
      <c r="A18" s="5" t="s">
        <v>9</v>
      </c>
      <c r="B18" s="6"/>
      <c r="C18" s="6"/>
      <c r="D18" s="6"/>
      <c r="E18" s="16"/>
      <c r="G18" s="49"/>
      <c r="H18" s="42"/>
      <c r="I18" s="42"/>
      <c r="J18" s="42"/>
      <c r="K18" s="42"/>
      <c r="L18" s="42"/>
      <c r="M18" s="42"/>
      <c r="N18" s="42"/>
      <c r="O18" s="42"/>
      <c r="P18" s="42"/>
      <c r="Q18" s="42"/>
      <c r="R18" s="42"/>
    </row>
    <row r="19" spans="1:18" ht="15" thickBot="1" x14ac:dyDescent="0.35">
      <c r="A19" s="11" t="s">
        <v>10</v>
      </c>
      <c r="B19" s="12"/>
      <c r="C19" s="13"/>
      <c r="D19" s="14" t="s">
        <v>11</v>
      </c>
      <c r="E19" s="15" t="str">
        <f>IF(B19="","",B19+3.5)</f>
        <v/>
      </c>
      <c r="G19" s="38" t="s">
        <v>54</v>
      </c>
      <c r="H19" s="39"/>
      <c r="I19" s="39"/>
      <c r="J19" s="39"/>
      <c r="K19" s="39"/>
      <c r="L19" s="39"/>
      <c r="M19" s="39"/>
      <c r="N19" s="39"/>
      <c r="O19" s="39"/>
      <c r="P19" s="39"/>
      <c r="Q19" s="39"/>
      <c r="R19" s="40"/>
    </row>
    <row r="20" spans="1:18" ht="15" thickBot="1" x14ac:dyDescent="0.35">
      <c r="G20" s="41"/>
      <c r="H20" s="42"/>
      <c r="I20" s="42"/>
      <c r="J20" s="42"/>
      <c r="K20" s="42"/>
      <c r="L20" s="42"/>
      <c r="M20" s="42"/>
      <c r="N20" s="42"/>
      <c r="O20" s="42"/>
      <c r="P20" s="42"/>
      <c r="Q20" s="42"/>
      <c r="R20" s="42"/>
    </row>
    <row r="21" spans="1:18" x14ac:dyDescent="0.3">
      <c r="A21" s="5" t="s">
        <v>12</v>
      </c>
      <c r="B21" s="6"/>
      <c r="C21" s="6"/>
      <c r="D21" s="76" t="s">
        <v>50</v>
      </c>
      <c r="E21" s="77"/>
      <c r="G21" s="41"/>
      <c r="H21" s="42"/>
      <c r="I21" s="42"/>
      <c r="J21" s="42"/>
      <c r="K21" s="42"/>
      <c r="L21" s="42"/>
      <c r="M21" s="42"/>
      <c r="N21" s="42"/>
      <c r="O21" s="42"/>
      <c r="P21" s="42"/>
      <c r="Q21" s="42"/>
      <c r="R21" s="42"/>
    </row>
    <row r="22" spans="1:18" x14ac:dyDescent="0.3">
      <c r="A22" s="7" t="s">
        <v>48</v>
      </c>
      <c r="B22" s="2"/>
      <c r="C22" s="8"/>
      <c r="D22" s="72"/>
      <c r="E22" s="73"/>
      <c r="G22" s="38" t="s">
        <v>55</v>
      </c>
      <c r="H22" s="39"/>
      <c r="I22" s="39"/>
      <c r="J22" s="39"/>
      <c r="K22" s="39"/>
      <c r="L22" s="39"/>
      <c r="M22" s="39"/>
      <c r="N22" s="39"/>
      <c r="O22" s="39"/>
      <c r="P22" s="39"/>
      <c r="Q22" s="39"/>
      <c r="R22" s="40"/>
    </row>
    <row r="23" spans="1:18" x14ac:dyDescent="0.3">
      <c r="A23" s="7" t="s">
        <v>13</v>
      </c>
      <c r="B23" s="2"/>
      <c r="C23" s="8"/>
      <c r="D23" s="1" t="s">
        <v>17</v>
      </c>
      <c r="E23" s="9" t="e">
        <f>B25*1000/B4</f>
        <v>#DIV/0!</v>
      </c>
      <c r="G23" s="38" t="s">
        <v>67</v>
      </c>
      <c r="H23" s="34"/>
      <c r="I23" s="34"/>
      <c r="J23" s="34"/>
      <c r="K23" s="34"/>
      <c r="L23" s="34"/>
      <c r="M23" s="34"/>
      <c r="N23" s="34"/>
      <c r="O23" s="34"/>
      <c r="P23" s="34"/>
      <c r="Q23" s="34"/>
      <c r="R23" s="35"/>
    </row>
    <row r="24" spans="1:18" x14ac:dyDescent="0.3">
      <c r="A24" s="7" t="s">
        <v>14</v>
      </c>
      <c r="B24" s="2"/>
      <c r="C24" s="8"/>
      <c r="D24" s="1" t="s">
        <v>25</v>
      </c>
      <c r="E24" s="10" t="e">
        <f>-LOG(E23)+LOG(25000)</f>
        <v>#DIV/0!</v>
      </c>
      <c r="G24" s="38" t="s">
        <v>68</v>
      </c>
      <c r="H24" s="34"/>
      <c r="I24" s="34"/>
      <c r="J24" s="34"/>
      <c r="K24" s="34"/>
      <c r="L24" s="34"/>
      <c r="M24" s="34"/>
      <c r="N24" s="34"/>
      <c r="O24" s="34"/>
      <c r="P24" s="34"/>
      <c r="Q24" s="34"/>
      <c r="R24" s="35"/>
    </row>
    <row r="25" spans="1:18" x14ac:dyDescent="0.3">
      <c r="A25" s="7" t="s">
        <v>15</v>
      </c>
      <c r="B25" s="1">
        <f>MIN(B23:B24)</f>
        <v>0</v>
      </c>
      <c r="C25" s="8"/>
      <c r="D25" s="1" t="s">
        <v>18</v>
      </c>
      <c r="E25" s="9" t="e">
        <f>B26*1000/B4</f>
        <v>#DIV/0!</v>
      </c>
      <c r="G25" s="54"/>
      <c r="H25" s="8"/>
      <c r="I25" s="8"/>
      <c r="J25" s="8"/>
      <c r="K25" s="8"/>
      <c r="L25" s="8"/>
      <c r="M25" s="8"/>
      <c r="N25" s="8"/>
      <c r="O25" s="8"/>
      <c r="P25" s="8"/>
      <c r="Q25" s="8"/>
      <c r="R25" s="8"/>
    </row>
    <row r="26" spans="1:18" ht="15" thickBot="1" x14ac:dyDescent="0.35">
      <c r="A26" s="11" t="s">
        <v>16</v>
      </c>
      <c r="B26" s="12"/>
      <c r="C26" s="13"/>
      <c r="D26" s="14" t="s">
        <v>26</v>
      </c>
      <c r="E26" s="15" t="e">
        <f>-LOG(E25)+LOG(25000)</f>
        <v>#DIV/0!</v>
      </c>
      <c r="G26" s="38" t="s">
        <v>69</v>
      </c>
      <c r="H26" s="34"/>
      <c r="I26" s="34"/>
      <c r="J26" s="34"/>
      <c r="K26" s="34"/>
      <c r="L26" s="34"/>
      <c r="M26" s="34"/>
      <c r="N26" s="34"/>
      <c r="O26" s="34"/>
      <c r="P26" s="34"/>
      <c r="Q26" s="34"/>
      <c r="R26" s="35"/>
    </row>
    <row r="27" spans="1:18" ht="15" thickBot="1" x14ac:dyDescent="0.35"/>
    <row r="28" spans="1:18" ht="14.4" customHeight="1" x14ac:dyDescent="0.3">
      <c r="A28" s="5" t="s">
        <v>47</v>
      </c>
      <c r="B28" s="6"/>
      <c r="C28" s="6"/>
      <c r="D28" s="29" t="s">
        <v>31</v>
      </c>
      <c r="E28" s="30" t="s">
        <v>32</v>
      </c>
    </row>
    <row r="29" spans="1:18" x14ac:dyDescent="0.3">
      <c r="A29" s="68" t="s">
        <v>27</v>
      </c>
      <c r="B29" s="69"/>
      <c r="C29" s="69"/>
      <c r="D29" s="32" t="str">
        <f>IF(OR(B8="",B19="")=TRUE,"not sufficient data",0.4156+0.1507*$E$9+0.3577*$E$13+0.4038*$E$19-0.213*$E$5)</f>
        <v>not sufficient data</v>
      </c>
      <c r="E29" s="31" t="str">
        <f>(IF(D29="not sufficient data",D29,$B$4/(10^D29)))</f>
        <v>not sufficient data</v>
      </c>
      <c r="G29" s="59" t="s">
        <v>70</v>
      </c>
      <c r="H29" s="60"/>
      <c r="I29" s="60"/>
      <c r="J29" s="60"/>
      <c r="K29" s="60"/>
      <c r="L29" s="60"/>
      <c r="M29" s="60"/>
      <c r="N29" s="60"/>
      <c r="O29" s="60"/>
      <c r="P29" s="60"/>
      <c r="Q29" s="60"/>
      <c r="R29" s="61"/>
    </row>
    <row r="30" spans="1:18" x14ac:dyDescent="0.3">
      <c r="A30" s="68" t="s">
        <v>29</v>
      </c>
      <c r="B30" s="69"/>
      <c r="C30" s="69"/>
      <c r="D30" s="32" t="str">
        <f>IF(OR(B22="",B19="")=TRUE,"not sufficient data",0.181+0.2089*$E$24+0.3511*$E$26+0.3638*$E$19-0.1862*$E$5)</f>
        <v>not sufficient data</v>
      </c>
      <c r="E30" s="31" t="str">
        <f t="shared" ref="E30:E33" si="0">(IF(D30="not sufficient data",D30,$B$4/(10^D30)))</f>
        <v>not sufficient data</v>
      </c>
      <c r="G30" s="62"/>
      <c r="H30" s="63"/>
      <c r="I30" s="63"/>
      <c r="J30" s="63"/>
      <c r="K30" s="63"/>
      <c r="L30" s="63"/>
      <c r="M30" s="63"/>
      <c r="N30" s="63"/>
      <c r="O30" s="63"/>
      <c r="P30" s="63"/>
      <c r="Q30" s="63"/>
      <c r="R30" s="64"/>
    </row>
    <row r="31" spans="1:18" x14ac:dyDescent="0.3">
      <c r="A31" s="68" t="s">
        <v>30</v>
      </c>
      <c r="B31" s="69"/>
      <c r="C31" s="69"/>
      <c r="D31" s="32" t="str">
        <f>IF(OR(B8="",B19="",B22="")=TRUE,"not sufficient data",0.198+0.1971*$E$24+0.207*$E$26+0.3445*$E$19-0.1855*$E$5+0.0893*$E$9+0.109*$E$13)</f>
        <v>not sufficient data</v>
      </c>
      <c r="E31" s="31" t="str">
        <f t="shared" si="0"/>
        <v>not sufficient data</v>
      </c>
      <c r="G31" s="62"/>
      <c r="H31" s="63"/>
      <c r="I31" s="63"/>
      <c r="J31" s="63"/>
      <c r="K31" s="63"/>
      <c r="L31" s="63"/>
      <c r="M31" s="63"/>
      <c r="N31" s="63"/>
      <c r="O31" s="63"/>
      <c r="P31" s="63"/>
      <c r="Q31" s="63"/>
      <c r="R31" s="64"/>
    </row>
    <row r="32" spans="1:18" x14ac:dyDescent="0.3">
      <c r="A32" s="68" t="s">
        <v>28</v>
      </c>
      <c r="B32" s="69"/>
      <c r="C32" s="69"/>
      <c r="D32" s="32" t="str">
        <f>IF(OR(B8="",B22="")=TRUE,"not sufficient data",0.084+0.2832*$E$24+0.331*$E$26-0.1241*$E$5+0.2179*$E$9+0.055*$E$13)</f>
        <v>not sufficient data</v>
      </c>
      <c r="E32" s="31" t="str">
        <f t="shared" si="0"/>
        <v>not sufficient data</v>
      </c>
      <c r="G32" s="62"/>
      <c r="H32" s="63"/>
      <c r="I32" s="63"/>
      <c r="J32" s="63"/>
      <c r="K32" s="63"/>
      <c r="L32" s="63"/>
      <c r="M32" s="63"/>
      <c r="N32" s="63"/>
      <c r="O32" s="63"/>
      <c r="P32" s="63"/>
      <c r="Q32" s="63"/>
      <c r="R32" s="64"/>
    </row>
    <row r="33" spans="1:18" ht="15" thickBot="1" x14ac:dyDescent="0.35">
      <c r="A33" s="70" t="s">
        <v>33</v>
      </c>
      <c r="B33" s="71"/>
      <c r="C33" s="71"/>
      <c r="D33" s="32" t="str">
        <f>IF(OR(B8="",B22="")=TRUE,"not sufficient data",0.202+0.2226*$E$24+0.313*$E$26-0.1508*$E$5+0.4003*$E$11+0.023*$E$13)</f>
        <v>not sufficient data</v>
      </c>
      <c r="E33" s="31" t="str">
        <f t="shared" si="0"/>
        <v>not sufficient data</v>
      </c>
      <c r="G33" s="65"/>
      <c r="H33" s="66"/>
      <c r="I33" s="66"/>
      <c r="J33" s="66"/>
      <c r="K33" s="66"/>
      <c r="L33" s="66"/>
      <c r="M33" s="66"/>
      <c r="N33" s="66"/>
      <c r="O33" s="66"/>
      <c r="P33" s="66"/>
      <c r="Q33" s="66"/>
      <c r="R33" s="67"/>
    </row>
  </sheetData>
  <mergeCells count="8">
    <mergeCell ref="G29:R33"/>
    <mergeCell ref="A32:C32"/>
    <mergeCell ref="A33:C33"/>
    <mergeCell ref="D15:E16"/>
    <mergeCell ref="D21:E22"/>
    <mergeCell ref="A29:C29"/>
    <mergeCell ref="A30:C30"/>
    <mergeCell ref="A31:C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3"/>
  <sheetViews>
    <sheetView workbookViewId="0">
      <selection activeCell="B3" sqref="B3"/>
    </sheetView>
  </sheetViews>
  <sheetFormatPr baseColWidth="10" defaultColWidth="8.88671875" defaultRowHeight="14.4" x14ac:dyDescent="0.3"/>
  <cols>
    <col min="1" max="1" width="16.88671875" customWidth="1"/>
    <col min="2" max="2" width="13.6640625" customWidth="1"/>
    <col min="4" max="4" width="22.33203125" customWidth="1"/>
    <col min="5" max="5" width="12.5546875" customWidth="1"/>
  </cols>
  <sheetData>
    <row r="1" spans="1:5" x14ac:dyDescent="0.3">
      <c r="A1" s="1" t="s">
        <v>19</v>
      </c>
      <c r="B1" s="2" t="s">
        <v>40</v>
      </c>
    </row>
    <row r="2" spans="1:5" x14ac:dyDescent="0.3">
      <c r="A2" s="1" t="s">
        <v>20</v>
      </c>
      <c r="B2" s="2" t="s">
        <v>41</v>
      </c>
    </row>
    <row r="3" spans="1:5" x14ac:dyDescent="0.3">
      <c r="A3" s="1" t="s">
        <v>21</v>
      </c>
      <c r="B3" s="26" t="s">
        <v>42</v>
      </c>
    </row>
    <row r="4" spans="1:5" ht="15" thickBot="1" x14ac:dyDescent="0.35">
      <c r="A4" s="1" t="s">
        <v>22</v>
      </c>
      <c r="B4" s="2">
        <v>202.6</v>
      </c>
    </row>
    <row r="5" spans="1:5" ht="15" thickBot="1" x14ac:dyDescent="0.35">
      <c r="A5" s="1" t="s">
        <v>38</v>
      </c>
      <c r="B5" s="2">
        <v>0</v>
      </c>
      <c r="C5" s="22"/>
      <c r="D5" s="23" t="s">
        <v>39</v>
      </c>
      <c r="E5" s="24">
        <f>IF(B5&gt;10,LOG(B5)-1,0)</f>
        <v>0</v>
      </c>
    </row>
    <row r="6" spans="1:5" ht="15" thickBot="1" x14ac:dyDescent="0.35"/>
    <row r="7" spans="1:5" x14ac:dyDescent="0.3">
      <c r="A7" s="5" t="s">
        <v>0</v>
      </c>
      <c r="B7" s="6"/>
      <c r="C7" s="6"/>
      <c r="D7" s="6"/>
      <c r="E7" s="16"/>
    </row>
    <row r="8" spans="1:5" x14ac:dyDescent="0.3">
      <c r="A8" s="7" t="s">
        <v>6</v>
      </c>
      <c r="B8" s="2">
        <v>1</v>
      </c>
      <c r="C8" s="8"/>
      <c r="D8" s="1" t="s">
        <v>7</v>
      </c>
      <c r="E8" s="17">
        <f>IF(B9="",B13*5,B9)</f>
        <v>2.4956284769999999</v>
      </c>
    </row>
    <row r="9" spans="1:5" x14ac:dyDescent="0.3">
      <c r="A9" s="7" t="s">
        <v>1</v>
      </c>
      <c r="B9" s="2">
        <v>2.4956284769999999</v>
      </c>
      <c r="C9" s="8"/>
      <c r="D9" s="1" t="s">
        <v>8</v>
      </c>
      <c r="E9" s="18">
        <f>-LOG(E8)+LOG(4000)</f>
        <v>3.2048800587143234</v>
      </c>
    </row>
    <row r="10" spans="1:5" x14ac:dyDescent="0.3">
      <c r="A10" s="7" t="s">
        <v>34</v>
      </c>
      <c r="B10" s="2">
        <v>3.8924649759999999</v>
      </c>
      <c r="C10" s="8"/>
      <c r="D10" s="1" t="s">
        <v>36</v>
      </c>
      <c r="E10" s="17">
        <f>IF(B10="",B14*5,B10)</f>
        <v>3.8924649759999999</v>
      </c>
    </row>
    <row r="11" spans="1:5" x14ac:dyDescent="0.3">
      <c r="A11" s="7" t="s">
        <v>2</v>
      </c>
      <c r="B11" s="2">
        <v>8.1999999999999993</v>
      </c>
      <c r="C11" s="8"/>
      <c r="D11" s="1" t="s">
        <v>37</v>
      </c>
      <c r="E11" s="18">
        <f>-LOG(E10)+LOG(4000)</f>
        <v>3.0118352778073594</v>
      </c>
    </row>
    <row r="12" spans="1:5" x14ac:dyDescent="0.3">
      <c r="A12" s="19" t="s">
        <v>3</v>
      </c>
      <c r="B12" s="8"/>
      <c r="C12" s="8"/>
      <c r="D12" s="1" t="s">
        <v>23</v>
      </c>
      <c r="E12" s="17">
        <f>IF(B11="",B15*5,B11)</f>
        <v>8.1999999999999993</v>
      </c>
    </row>
    <row r="13" spans="1:5" x14ac:dyDescent="0.3">
      <c r="A13" s="7" t="s">
        <v>4</v>
      </c>
      <c r="B13" s="3"/>
      <c r="C13" s="8"/>
      <c r="D13" s="1" t="s">
        <v>24</v>
      </c>
      <c r="E13" s="18">
        <f>-LOG(E12)+LOG(4000)</f>
        <v>2.6882461389442458</v>
      </c>
    </row>
    <row r="14" spans="1:5" x14ac:dyDescent="0.3">
      <c r="A14" s="7" t="s">
        <v>35</v>
      </c>
      <c r="B14" s="3"/>
      <c r="C14" s="8"/>
      <c r="D14" s="8"/>
      <c r="E14" s="20"/>
    </row>
    <row r="15" spans="1:5" ht="14.4" customHeight="1" x14ac:dyDescent="0.3">
      <c r="A15" s="7" t="s">
        <v>5</v>
      </c>
      <c r="B15" s="3"/>
      <c r="C15" s="8"/>
      <c r="D15" s="78" t="s">
        <v>46</v>
      </c>
      <c r="E15" s="79"/>
    </row>
    <row r="16" spans="1:5" ht="15" thickBot="1" x14ac:dyDescent="0.35">
      <c r="A16" s="21"/>
      <c r="B16" s="13"/>
      <c r="C16" s="13"/>
      <c r="D16" s="80"/>
      <c r="E16" s="81"/>
    </row>
    <row r="17" spans="1:7" ht="15" thickBot="1" x14ac:dyDescent="0.35"/>
    <row r="18" spans="1:7" x14ac:dyDescent="0.3">
      <c r="A18" s="5" t="s">
        <v>9</v>
      </c>
      <c r="B18" s="6"/>
      <c r="C18" s="6"/>
      <c r="D18" s="6"/>
      <c r="E18" s="16"/>
      <c r="G18" s="4"/>
    </row>
    <row r="19" spans="1:7" ht="15" thickBot="1" x14ac:dyDescent="0.35">
      <c r="A19" s="11" t="s">
        <v>10</v>
      </c>
      <c r="B19" s="12">
        <v>-0.55000000000000004</v>
      </c>
      <c r="C19" s="13"/>
      <c r="D19" s="14" t="s">
        <v>11</v>
      </c>
      <c r="E19" s="15">
        <f>B19+3.5</f>
        <v>2.95</v>
      </c>
    </row>
    <row r="20" spans="1:7" ht="15" thickBot="1" x14ac:dyDescent="0.35"/>
    <row r="21" spans="1:7" x14ac:dyDescent="0.3">
      <c r="A21" s="5" t="s">
        <v>12</v>
      </c>
      <c r="B21" s="6"/>
      <c r="C21" s="6"/>
      <c r="D21" s="82" t="s">
        <v>45</v>
      </c>
      <c r="E21" s="83"/>
    </row>
    <row r="22" spans="1:7" x14ac:dyDescent="0.3">
      <c r="A22" s="7" t="s">
        <v>6</v>
      </c>
      <c r="B22" s="2">
        <v>1</v>
      </c>
      <c r="C22" s="8"/>
      <c r="D22" s="78"/>
      <c r="E22" s="79"/>
    </row>
    <row r="23" spans="1:7" x14ac:dyDescent="0.3">
      <c r="A23" s="7" t="s">
        <v>13</v>
      </c>
      <c r="B23" s="2">
        <v>1.92</v>
      </c>
      <c r="C23" s="8"/>
      <c r="D23" s="1" t="s">
        <v>17</v>
      </c>
      <c r="E23" s="9">
        <f>B25*1000/B4</f>
        <v>9.4768015794669296</v>
      </c>
    </row>
    <row r="24" spans="1:7" x14ac:dyDescent="0.3">
      <c r="A24" s="7" t="s">
        <v>14</v>
      </c>
      <c r="B24" s="2">
        <v>2.23</v>
      </c>
      <c r="C24" s="8"/>
      <c r="D24" s="1" t="s">
        <v>25</v>
      </c>
      <c r="E24" s="10">
        <f>-LOG(E23)+LOG(25000)</f>
        <v>3.4212782209927495</v>
      </c>
    </row>
    <row r="25" spans="1:7" x14ac:dyDescent="0.3">
      <c r="A25" s="7" t="s">
        <v>15</v>
      </c>
      <c r="B25" s="1">
        <f>MIN(B23:B24)</f>
        <v>1.92</v>
      </c>
      <c r="C25" s="8"/>
      <c r="D25" s="1" t="s">
        <v>18</v>
      </c>
      <c r="E25" s="9">
        <f>B26*1000/B4</f>
        <v>24.679170779861796</v>
      </c>
    </row>
    <row r="26" spans="1:7" ht="15" thickBot="1" x14ac:dyDescent="0.35">
      <c r="A26" s="11" t="s">
        <v>16</v>
      </c>
      <c r="B26" s="12">
        <v>5</v>
      </c>
      <c r="C26" s="13"/>
      <c r="D26" s="14" t="s">
        <v>26</v>
      </c>
      <c r="E26" s="15">
        <f>-LOG(E25)+LOG(25000)</f>
        <v>3.0056094453602804</v>
      </c>
    </row>
    <row r="28" spans="1:7" x14ac:dyDescent="0.3">
      <c r="D28" s="25" t="s">
        <v>31</v>
      </c>
      <c r="E28" s="25" t="s">
        <v>32</v>
      </c>
    </row>
    <row r="29" spans="1:7" x14ac:dyDescent="0.3">
      <c r="A29" s="69" t="s">
        <v>27</v>
      </c>
      <c r="B29" s="69"/>
      <c r="C29" s="69"/>
      <c r="D29" s="32">
        <f>IF(OR(B8="",B19="")=TRUE,"not sufficient data",0.4156+0.1507*$E$9+0.3577*$E$13+0.4038*$E$19-0.213*$E$5)</f>
        <v>3.0513710687486055</v>
      </c>
      <c r="E29" s="31">
        <f>(IF(D29="not sufficient data",D29,$B$4/(10^D29)))</f>
        <v>0.179998287094429</v>
      </c>
    </row>
    <row r="30" spans="1:7" x14ac:dyDescent="0.3">
      <c r="A30" s="69" t="s">
        <v>29</v>
      </c>
      <c r="B30" s="69"/>
      <c r="C30" s="69"/>
      <c r="D30" s="32">
        <f>IF(OR(B22="",B19="")=TRUE,"not sufficient data",0.181+0.2089*$E$24+0.3511*$E$26+0.3638*$E$19-0.1862*$E$5)</f>
        <v>3.0241844966313796</v>
      </c>
      <c r="E30" s="31">
        <f t="shared" ref="E30:E33" si="0">(IF(D30="not sufficient data",D30,$B$4/(10^D30)))</f>
        <v>0.19162622510041108</v>
      </c>
    </row>
    <row r="31" spans="1:7" x14ac:dyDescent="0.3">
      <c r="A31" s="69" t="s">
        <v>30</v>
      </c>
      <c r="B31" s="69"/>
      <c r="C31" s="69"/>
      <c r="D31" s="32">
        <f>IF(OR(B8="",B19="",B22="")=TRUE,"not sufficient data",0.198+0.1971*$E$24+0.207*$E$26+0.3445*$E$19-0.1855*$E$5+0.0893*$E$9+0.109*$E$13)</f>
        <v>3.0899847109353611</v>
      </c>
      <c r="E31" s="31">
        <f t="shared" si="0"/>
        <v>0.16468526011400961</v>
      </c>
    </row>
    <row r="32" spans="1:7" x14ac:dyDescent="0.3">
      <c r="A32" s="69" t="s">
        <v>28</v>
      </c>
      <c r="B32" s="69"/>
      <c r="C32" s="69"/>
      <c r="D32" s="32">
        <f>IF(OR(B8="",B22="")=TRUE,"not sufficient data",0.084+0.2832*$E$24+0.331*$E$26-0.1241*$E$5+0.2179*$E$9+0.055*$E$13)</f>
        <v>2.8939596210351843</v>
      </c>
      <c r="E32" s="31">
        <f t="shared" si="0"/>
        <v>0.25863054798180612</v>
      </c>
    </row>
    <row r="33" spans="1:5" x14ac:dyDescent="0.3">
      <c r="A33" s="69" t="s">
        <v>33</v>
      </c>
      <c r="B33" s="69"/>
      <c r="C33" s="69"/>
      <c r="D33" s="32">
        <f>IF(OR(B8="",B22="")=TRUE,"not sufficient data",0.202+0.2226*$E$24+0.313*$E$26-0.1508*$E$5+0.4003*$E$11+0.023*$E$13)</f>
        <v>3.1717996112927573</v>
      </c>
      <c r="E33" s="31">
        <f t="shared" si="0"/>
        <v>0.13640799633797143</v>
      </c>
    </row>
  </sheetData>
  <mergeCells count="7">
    <mergeCell ref="A33:C33"/>
    <mergeCell ref="D15:E16"/>
    <mergeCell ref="D21:E22"/>
    <mergeCell ref="A29:C29"/>
    <mergeCell ref="A30:C30"/>
    <mergeCell ref="A31:C31"/>
    <mergeCell ref="A32:C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workbookViewId="0">
      <selection activeCell="B3" sqref="B3"/>
    </sheetView>
  </sheetViews>
  <sheetFormatPr baseColWidth="10" defaultColWidth="8.88671875" defaultRowHeight="14.4" x14ac:dyDescent="0.3"/>
  <cols>
    <col min="1" max="1" width="16.88671875" customWidth="1"/>
    <col min="2" max="2" width="13.6640625" customWidth="1"/>
    <col min="4" max="4" width="22.33203125" customWidth="1"/>
    <col min="5" max="5" width="12.5546875" customWidth="1"/>
  </cols>
  <sheetData>
    <row r="1" spans="1:5" x14ac:dyDescent="0.3">
      <c r="A1" s="1" t="s">
        <v>19</v>
      </c>
      <c r="B1" s="2" t="s">
        <v>43</v>
      </c>
    </row>
    <row r="2" spans="1:5" x14ac:dyDescent="0.3">
      <c r="A2" s="1" t="s">
        <v>20</v>
      </c>
      <c r="B2" s="2"/>
    </row>
    <row r="3" spans="1:5" x14ac:dyDescent="0.3">
      <c r="A3" s="1" t="s">
        <v>21</v>
      </c>
      <c r="B3" s="2" t="s">
        <v>44</v>
      </c>
    </row>
    <row r="4" spans="1:5" ht="15" thickBot="1" x14ac:dyDescent="0.35">
      <c r="A4" s="1" t="s">
        <v>22</v>
      </c>
      <c r="B4" s="2">
        <v>132.16</v>
      </c>
    </row>
    <row r="5" spans="1:5" ht="15" thickBot="1" x14ac:dyDescent="0.35">
      <c r="A5" s="1" t="s">
        <v>38</v>
      </c>
      <c r="B5" s="2">
        <v>4.5999999999999996</v>
      </c>
      <c r="C5" s="22"/>
      <c r="D5" s="23" t="s">
        <v>39</v>
      </c>
      <c r="E5" s="24">
        <f>IF(B5&gt;10,LOG(B5)-1,0)</f>
        <v>0</v>
      </c>
    </row>
    <row r="6" spans="1:5" ht="15" thickBot="1" x14ac:dyDescent="0.35"/>
    <row r="7" spans="1:5" x14ac:dyDescent="0.3">
      <c r="A7" s="5" t="s">
        <v>0</v>
      </c>
      <c r="B7" s="6"/>
      <c r="C7" s="6"/>
      <c r="D7" s="6"/>
      <c r="E7" s="16"/>
    </row>
    <row r="8" spans="1:5" x14ac:dyDescent="0.3">
      <c r="A8" s="7" t="s">
        <v>6</v>
      </c>
      <c r="B8" s="2">
        <v>1</v>
      </c>
      <c r="C8" s="8"/>
      <c r="D8" s="1" t="s">
        <v>7</v>
      </c>
      <c r="E8" s="17">
        <f>IF(B9="",B13*5,B9)</f>
        <v>16.13</v>
      </c>
    </row>
    <row r="9" spans="1:5" x14ac:dyDescent="0.3">
      <c r="A9" s="7" t="s">
        <v>1</v>
      </c>
      <c r="B9" s="2">
        <v>16.13</v>
      </c>
      <c r="C9" s="8"/>
      <c r="D9" s="1" t="s">
        <v>8</v>
      </c>
      <c r="E9" s="18">
        <f>-LOG(E8)+LOG(4000)</f>
        <v>2.3944256239390009</v>
      </c>
    </row>
    <row r="10" spans="1:5" x14ac:dyDescent="0.3">
      <c r="A10" s="7" t="s">
        <v>34</v>
      </c>
      <c r="B10" s="2">
        <v>63.93</v>
      </c>
      <c r="C10" s="8"/>
      <c r="D10" s="1" t="s">
        <v>36</v>
      </c>
      <c r="E10" s="17">
        <f>IF(B10="",B14*5,B10)</f>
        <v>63.93</v>
      </c>
    </row>
    <row r="11" spans="1:5" x14ac:dyDescent="0.3">
      <c r="A11" s="7" t="s">
        <v>2</v>
      </c>
      <c r="B11" s="2">
        <v>194.37</v>
      </c>
      <c r="C11" s="8"/>
      <c r="D11" s="1" t="s">
        <v>37</v>
      </c>
      <c r="E11" s="18">
        <f>-LOG(E10)+LOG(4000)</f>
        <v>1.7963552868940982</v>
      </c>
    </row>
    <row r="12" spans="1:5" x14ac:dyDescent="0.3">
      <c r="A12" s="19" t="s">
        <v>3</v>
      </c>
      <c r="B12" s="8"/>
      <c r="C12" s="8"/>
      <c r="D12" s="1" t="s">
        <v>23</v>
      </c>
      <c r="E12" s="17">
        <f>IF(B11="",B15*5,B11)</f>
        <v>194.37</v>
      </c>
    </row>
    <row r="13" spans="1:5" x14ac:dyDescent="0.3">
      <c r="A13" s="7" t="s">
        <v>4</v>
      </c>
      <c r="B13" s="3"/>
      <c r="C13" s="8"/>
      <c r="D13" s="1" t="s">
        <v>24</v>
      </c>
      <c r="E13" s="18">
        <f>-LOG(E12)+LOG(4000)</f>
        <v>1.3134307566629735</v>
      </c>
    </row>
    <row r="14" spans="1:5" x14ac:dyDescent="0.3">
      <c r="A14" s="7" t="s">
        <v>35</v>
      </c>
      <c r="B14" s="3"/>
      <c r="C14" s="8"/>
      <c r="D14" s="8"/>
      <c r="E14" s="20"/>
    </row>
    <row r="15" spans="1:5" ht="14.4" customHeight="1" x14ac:dyDescent="0.3">
      <c r="A15" s="7" t="s">
        <v>5</v>
      </c>
      <c r="B15" s="3"/>
      <c r="C15" s="8"/>
      <c r="D15" s="78" t="s">
        <v>46</v>
      </c>
      <c r="E15" s="79"/>
    </row>
    <row r="16" spans="1:5" ht="15" thickBot="1" x14ac:dyDescent="0.35">
      <c r="A16" s="21"/>
      <c r="B16" s="13"/>
      <c r="C16" s="13"/>
      <c r="D16" s="80"/>
      <c r="E16" s="81"/>
    </row>
    <row r="17" spans="1:7" ht="15" thickBot="1" x14ac:dyDescent="0.35"/>
    <row r="18" spans="1:7" x14ac:dyDescent="0.3">
      <c r="A18" s="5" t="s">
        <v>9</v>
      </c>
      <c r="B18" s="6"/>
      <c r="C18" s="6"/>
      <c r="D18" s="6"/>
      <c r="E18" s="16"/>
      <c r="G18" s="4"/>
    </row>
    <row r="19" spans="1:7" ht="15" thickBot="1" x14ac:dyDescent="0.35">
      <c r="A19" s="11" t="s">
        <v>10</v>
      </c>
      <c r="B19" s="12">
        <v>-1.35</v>
      </c>
      <c r="C19" s="13"/>
      <c r="D19" s="14" t="s">
        <v>11</v>
      </c>
      <c r="E19" s="15">
        <f>B19+3.5</f>
        <v>2.15</v>
      </c>
    </row>
    <row r="20" spans="1:7" ht="15" thickBot="1" x14ac:dyDescent="0.35"/>
    <row r="21" spans="1:7" x14ac:dyDescent="0.3">
      <c r="A21" s="5" t="s">
        <v>12</v>
      </c>
      <c r="B21" s="6"/>
      <c r="C21" s="6"/>
      <c r="D21" s="82" t="s">
        <v>45</v>
      </c>
      <c r="E21" s="83"/>
    </row>
    <row r="22" spans="1:7" x14ac:dyDescent="0.3">
      <c r="A22" s="7" t="s">
        <v>6</v>
      </c>
      <c r="B22" s="2">
        <v>1</v>
      </c>
      <c r="C22" s="8"/>
      <c r="D22" s="78"/>
      <c r="E22" s="79"/>
    </row>
    <row r="23" spans="1:7" x14ac:dyDescent="0.3">
      <c r="A23" s="7" t="s">
        <v>13</v>
      </c>
      <c r="B23" s="2">
        <v>10.199999999999999</v>
      </c>
      <c r="C23" s="8"/>
      <c r="D23" s="1" t="s">
        <v>17</v>
      </c>
      <c r="E23" s="9">
        <f>B25*1000/B4</f>
        <v>77.179176755447941</v>
      </c>
    </row>
    <row r="24" spans="1:7" x14ac:dyDescent="0.3">
      <c r="A24" s="7" t="s">
        <v>14</v>
      </c>
      <c r="B24" s="2">
        <v>12.3</v>
      </c>
      <c r="C24" s="8"/>
      <c r="D24" s="1" t="s">
        <v>25</v>
      </c>
      <c r="E24" s="10">
        <f>-LOG(E23)+LOG(25000)</f>
        <v>2.510439866886427</v>
      </c>
    </row>
    <row r="25" spans="1:7" x14ac:dyDescent="0.3">
      <c r="A25" s="7" t="s">
        <v>15</v>
      </c>
      <c r="B25" s="1">
        <f>MIN(B23:B24)</f>
        <v>10.199999999999999</v>
      </c>
      <c r="C25" s="8"/>
      <c r="D25" s="1" t="s">
        <v>18</v>
      </c>
      <c r="E25" s="9">
        <f>B26*1000/B4</f>
        <v>211.86440677966101</v>
      </c>
    </row>
    <row r="26" spans="1:7" ht="15" thickBot="1" x14ac:dyDescent="0.35">
      <c r="A26" s="11" t="s">
        <v>16</v>
      </c>
      <c r="B26" s="12">
        <v>28</v>
      </c>
      <c r="C26" s="13"/>
      <c r="D26" s="14" t="s">
        <v>26</v>
      </c>
      <c r="E26" s="15">
        <f>-LOG(E25)+LOG(25000)</f>
        <v>2.0718820073061255</v>
      </c>
    </row>
    <row r="28" spans="1:7" x14ac:dyDescent="0.3">
      <c r="D28" s="27" t="s">
        <v>31</v>
      </c>
      <c r="E28" s="27" t="s">
        <v>32</v>
      </c>
    </row>
    <row r="29" spans="1:7" x14ac:dyDescent="0.3">
      <c r="A29" s="69" t="s">
        <v>27</v>
      </c>
      <c r="B29" s="69"/>
      <c r="C29" s="69"/>
      <c r="D29" s="32">
        <f>IF(OR(B8="",B19="")=TRUE,"not sufficient data",0.4156+0.1507*$E$9+0.3577*$E$13+0.4038*$E$19-0.213*$E$5)</f>
        <v>2.1144241231859531</v>
      </c>
      <c r="E29" s="31">
        <f>(IF(D29="not sufficient data",D29,$B$4/(10^D29)))</f>
        <v>1.0154905979549094</v>
      </c>
    </row>
    <row r="30" spans="1:7" x14ac:dyDescent="0.3">
      <c r="A30" s="69" t="s">
        <v>29</v>
      </c>
      <c r="B30" s="69"/>
      <c r="C30" s="69"/>
      <c r="D30" s="32">
        <f>IF(OR(B22="",B19="")=TRUE,"not sufficient data",0.181+0.2089*$E$24+0.3511*$E$26+0.3638*$E$19-0.1862*$E$5)</f>
        <v>2.215038660957755</v>
      </c>
      <c r="E30" s="31">
        <f t="shared" ref="E30:E33" si="0">(IF(D30="not sufficient data",D30,$B$4/(10^D30)))</f>
        <v>0.8054922551635586</v>
      </c>
    </row>
    <row r="31" spans="1:7" x14ac:dyDescent="0.3">
      <c r="A31" s="69" t="s">
        <v>30</v>
      </c>
      <c r="B31" s="69"/>
      <c r="C31" s="69"/>
      <c r="D31" s="32">
        <f>IF(OR(B8="",B19="",B22="")=TRUE,"not sufficient data",0.198+0.1971*$E$24+0.207*$E$26+0.3445*$E$19-0.1855*$E$5+0.0893*$E$9+0.109*$E$13)</f>
        <v>2.2193484339696994</v>
      </c>
      <c r="E31" s="31">
        <f t="shared" si="0"/>
        <v>0.79753838769116914</v>
      </c>
    </row>
    <row r="32" spans="1:7" x14ac:dyDescent="0.3">
      <c r="A32" s="69" t="s">
        <v>28</v>
      </c>
      <c r="B32" s="69"/>
      <c r="C32" s="69"/>
      <c r="D32" s="32">
        <f>IF(OR(B8="",B22="")=TRUE,"not sufficient data",0.084+0.2832*$E$24+0.331*$E$26-0.1241*$E$5+0.2179*$E$9+0.055*$E$13)</f>
        <v>2.0747335497933359</v>
      </c>
      <c r="E32" s="31">
        <f t="shared" si="0"/>
        <v>1.1126702600432432</v>
      </c>
    </row>
    <row r="33" spans="1:5" x14ac:dyDescent="0.3">
      <c r="A33" s="69" t="s">
        <v>33</v>
      </c>
      <c r="B33" s="69"/>
      <c r="C33" s="69"/>
      <c r="D33" s="32">
        <f>IF(OR(B8="",B22="")=TRUE,"not sufficient data",0.202+0.2226*$E$24+0.313*$E$26-0.1508*$E$5+0.4003*$E$11+0.023*$E$13)</f>
        <v>2.1586129114026917</v>
      </c>
      <c r="E33" s="31">
        <f t="shared" si="0"/>
        <v>0.91724872885665887</v>
      </c>
    </row>
  </sheetData>
  <mergeCells count="7">
    <mergeCell ref="A33:C33"/>
    <mergeCell ref="D15:E16"/>
    <mergeCell ref="D21:E22"/>
    <mergeCell ref="A29:C29"/>
    <mergeCell ref="A30:C30"/>
    <mergeCell ref="A31:C31"/>
    <mergeCell ref="A32:C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Info</vt:lpstr>
      <vt:lpstr>Blank sheet for calculation</vt:lpstr>
      <vt:lpstr>Example DNCB</vt:lpstr>
      <vt:lpstr>Example cinnamic aldehyde</vt:lpstr>
    </vt:vector>
  </TitlesOfParts>
  <Company>Givaudan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Natsch Andreas</dc:creator>
  <cp:lastModifiedBy>Editor</cp:lastModifiedBy>
  <cp:lastPrinted>2021-11-25T08:19:53Z</cp:lastPrinted>
  <dcterms:created xsi:type="dcterms:W3CDTF">2021-08-28T14:01:15Z</dcterms:created>
  <dcterms:modified xsi:type="dcterms:W3CDTF">2022-04-11T09:34:36Z</dcterms:modified>
</cp:coreProperties>
</file>